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395" windowHeight="10740" activeTab="0"/>
  </bookViews>
  <sheets>
    <sheet name="Tabelle1" sheetId="1" r:id="rId1"/>
  </sheets>
  <definedNames>
    <definedName name="_xlnm.Print_Area" localSheetId="0">'Tabelle1'!$A$1:$L$49</definedName>
  </definedNames>
  <calcPr fullCalcOnLoad="1"/>
</workbook>
</file>

<file path=xl/sharedStrings.xml><?xml version="1.0" encoding="utf-8"?>
<sst xmlns="http://schemas.openxmlformats.org/spreadsheetml/2006/main" count="160" uniqueCount="107">
  <si>
    <t>Library-Online Consulting 3073 Gümligen</t>
  </si>
  <si>
    <t>Kostenschätzung für die Digitalisierung von Platten und Kassetten</t>
  </si>
  <si>
    <t>Eingabefelder sind in roter Farbe</t>
  </si>
  <si>
    <t>(Tipp: Beginnen Sie mit der Anzahl = 1)</t>
  </si>
  <si>
    <t>Allgemeine Angaben Steuerelemente</t>
  </si>
  <si>
    <t>Reinigen</t>
  </si>
  <si>
    <t>Effekte</t>
  </si>
  <si>
    <t>Ausgabe</t>
  </si>
  <si>
    <t>Kosten Aufnahme + Bereinigung</t>
  </si>
  <si>
    <t>Anzahl</t>
  </si>
  <si>
    <t>Reinigung</t>
  </si>
  <si>
    <t>Aufnahme</t>
  </si>
  <si>
    <t>Korrekturen</t>
  </si>
  <si>
    <t>Titel</t>
  </si>
  <si>
    <t>Betrag</t>
  </si>
  <si>
    <t>45-er Platten</t>
  </si>
  <si>
    <t>gute Qualität</t>
  </si>
  <si>
    <t>mittlere Qualität</t>
  </si>
  <si>
    <t>schlechte Qualität</t>
  </si>
  <si>
    <t>33-er Platten</t>
  </si>
  <si>
    <t>Nachbearbeitung</t>
  </si>
  <si>
    <t>Titelaufnahmen</t>
  </si>
  <si>
    <t>Kassetten</t>
  </si>
  <si>
    <t>60-Minuten</t>
  </si>
  <si>
    <t>90-Minuten</t>
  </si>
  <si>
    <t>Medium</t>
  </si>
  <si>
    <t>120-Minuten</t>
  </si>
  <si>
    <t>Total Kosten Aufnahme</t>
  </si>
  <si>
    <t>Tonträger</t>
  </si>
  <si>
    <t>Slim Case</t>
  </si>
  <si>
    <t>MB</t>
  </si>
  <si>
    <t>CD(s)</t>
  </si>
  <si>
    <t>Slim Case Einlage</t>
  </si>
  <si>
    <t>Antworten</t>
  </si>
  <si>
    <t>Total</t>
  </si>
  <si>
    <t>Kosten für Ausgabe</t>
  </si>
  <si>
    <t>Menge</t>
  </si>
  <si>
    <t>Preis/Einheit</t>
  </si>
  <si>
    <t>Kosten</t>
  </si>
  <si>
    <t>Audio-CD 700MB inkl. brennen</t>
  </si>
  <si>
    <t>Label(s)</t>
  </si>
  <si>
    <t>Slim-Case(s)</t>
  </si>
  <si>
    <t>Slim Case(s)</t>
  </si>
  <si>
    <t>Einlagen</t>
  </si>
  <si>
    <t>Total Kosten Ausgabe</t>
  </si>
  <si>
    <t>Zusammenstellung der Kosten</t>
  </si>
  <si>
    <t>Aufnahme und Bereinigung</t>
  </si>
  <si>
    <t>Total geschätzte Kosten</t>
  </si>
  <si>
    <t>Der berechnete Endpreis ist unverbindlich, der definitive Preis wird mittels Vertrag festgelegt !!</t>
  </si>
  <si>
    <t>JA</t>
  </si>
  <si>
    <t>NEIN</t>
  </si>
  <si>
    <t>USB-HD</t>
  </si>
  <si>
    <t>AUDIO-CD</t>
  </si>
  <si>
    <t>Erfassen Titel (MP3)</t>
  </si>
  <si>
    <t>Schätzungen Spieldauer und externer Speicherbedarf</t>
  </si>
  <si>
    <t>MP3 auf USB-ZIP 200MB</t>
  </si>
  <si>
    <t>MP3 auf USB-HD</t>
  </si>
  <si>
    <t>USB-ZIP 100</t>
  </si>
  <si>
    <t>USB-ZIP 200</t>
  </si>
  <si>
    <t>MP3 auf USB-ZIP 100MB</t>
  </si>
  <si>
    <t>MP3-CD</t>
  </si>
  <si>
    <t>MP3-HD</t>
  </si>
  <si>
    <t>MP3-ZIP(100)</t>
  </si>
  <si>
    <t>MP3-ZIP(200)</t>
  </si>
  <si>
    <t>+ Versandspesen</t>
  </si>
  <si>
    <t>je nach Versandart</t>
  </si>
  <si>
    <t>MP3-/Audio-CD</t>
  </si>
  <si>
    <t>Spieldauer</t>
  </si>
  <si>
    <t>MP3-CD's</t>
  </si>
  <si>
    <t>Korrekturen evtl. notwendig, wenn Aufnahme von Schallplatte</t>
  </si>
  <si>
    <t>45-er</t>
  </si>
  <si>
    <t>33-er</t>
  </si>
  <si>
    <t>78-er</t>
  </si>
  <si>
    <t>MP3-DVD</t>
  </si>
  <si>
    <t>MP3-DVD's</t>
  </si>
  <si>
    <t>Audio-CD's</t>
  </si>
  <si>
    <t>DVD's</t>
  </si>
  <si>
    <t>DVD(S)</t>
  </si>
  <si>
    <t>ZIP(s)</t>
  </si>
  <si>
    <t>MBs</t>
  </si>
  <si>
    <t>100MB ZIP-Disketten müssen zur Verfügung gestellt werden</t>
  </si>
  <si>
    <t>USB-HD muss zur Verfügung gestellt werden</t>
  </si>
  <si>
    <t>USB-ZIP-Gerät und -Disketten müssen zur Verfügung gestellt werden</t>
  </si>
  <si>
    <t>Pfeil anklicken für Auswahl</t>
  </si>
  <si>
    <t>Korrektur</t>
  </si>
  <si>
    <t>CD-Label für CD + DVD</t>
  </si>
  <si>
    <t>Case Einlage CD + DVD</t>
  </si>
  <si>
    <t>MP3 auf CD -R 700MB inkl. brennen</t>
  </si>
  <si>
    <t>MP3 auf DVD -R 4.3GB inkl. brennen</t>
  </si>
  <si>
    <t>60 min</t>
  </si>
  <si>
    <t>90 min</t>
  </si>
  <si>
    <t>120 min</t>
  </si>
  <si>
    <t xml:space="preserve"> </t>
  </si>
  <si>
    <t>------</t>
  </si>
  <si>
    <t>CD-Label / CD</t>
  </si>
  <si>
    <t>Fotos Plattenhüllen erstellen</t>
  </si>
  <si>
    <t>Fotos</t>
  </si>
  <si>
    <t>CD-Case-Einlage(n) + drucken</t>
  </si>
  <si>
    <t>CD Label(s) + drucken</t>
  </si>
  <si>
    <t xml:space="preserve">eigene Fotos:gute Qualität - Format quadratisch min. 12x12cm </t>
  </si>
  <si>
    <t>Logik für Fotos</t>
  </si>
  <si>
    <t>CD-Label ?</t>
  </si>
  <si>
    <t>Case-Einlage</t>
  </si>
  <si>
    <t>Fotos berechnen</t>
  </si>
  <si>
    <t>Fotos vorhanden</t>
  </si>
  <si>
    <t>MP3 256kBit/s</t>
  </si>
  <si>
    <t xml:space="preserve"> Stand 1. Januar 2011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</si>
</sst>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\-#,##0.00\ "/>
    <numFmt numFmtId="165" formatCode="_ &quot;SFr.&quot;\ * #,##0.000_ ;_ &quot;SFr.&quot;\ * \-#,##0.000_ ;_ &quot;SFr.&quot;\ * &quot;-&quot;???_ ;_ @_ "/>
    <numFmt numFmtId="166" formatCode="0.000"/>
    <numFmt numFmtId="167" formatCode="#,##0.000_ ;\-#,##0.000\ "/>
  </numFmts>
  <fonts count="10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2" borderId="1" xfId="0" applyNumberFormat="1" applyFont="1" applyFill="1" applyBorder="1" applyAlignment="1" applyProtection="1">
      <alignment/>
      <protection hidden="1"/>
    </xf>
    <xf numFmtId="164" fontId="6" fillId="2" borderId="2" xfId="0" applyNumberFormat="1" applyFont="1" applyFill="1" applyBorder="1" applyAlignment="1" applyProtection="1">
      <alignment/>
      <protection hidden="1"/>
    </xf>
    <xf numFmtId="2" fontId="6" fillId="2" borderId="2" xfId="0" applyNumberFormat="1" applyFont="1" applyFill="1" applyBorder="1" applyAlignment="1" applyProtection="1">
      <alignment/>
      <protection hidden="1"/>
    </xf>
    <xf numFmtId="1" fontId="6" fillId="3" borderId="0" xfId="0" applyNumberFormat="1" applyFont="1" applyFill="1" applyBorder="1" applyAlignment="1" applyProtection="1">
      <alignment/>
      <protection hidden="1"/>
    </xf>
    <xf numFmtId="164" fontId="6" fillId="3" borderId="3" xfId="0" applyNumberFormat="1" applyFont="1" applyFill="1" applyBorder="1" applyAlignment="1" applyProtection="1">
      <alignment/>
      <protection hidden="1"/>
    </xf>
    <xf numFmtId="2" fontId="6" fillId="3" borderId="3" xfId="0" applyNumberFormat="1" applyFont="1" applyFill="1" applyBorder="1" applyAlignment="1" applyProtection="1">
      <alignment/>
      <protection hidden="1"/>
    </xf>
    <xf numFmtId="1" fontId="6" fillId="4" borderId="4" xfId="0" applyNumberFormat="1" applyFont="1" applyFill="1" applyBorder="1" applyAlignment="1" applyProtection="1">
      <alignment/>
      <protection hidden="1"/>
    </xf>
    <xf numFmtId="164" fontId="6" fillId="4" borderId="5" xfId="0" applyNumberFormat="1" applyFont="1" applyFill="1" applyBorder="1" applyAlignment="1" applyProtection="1">
      <alignment/>
      <protection hidden="1"/>
    </xf>
    <xf numFmtId="2" fontId="6" fillId="4" borderId="5" xfId="0" applyNumberFormat="1" applyFont="1" applyFill="1" applyBorder="1" applyAlignment="1" applyProtection="1">
      <alignment/>
      <protection hidden="1"/>
    </xf>
    <xf numFmtId="1" fontId="6" fillId="5" borderId="3" xfId="0" applyNumberFormat="1" applyFont="1" applyFill="1" applyBorder="1" applyAlignment="1" applyProtection="1">
      <alignment/>
      <protection hidden="1"/>
    </xf>
    <xf numFmtId="1" fontId="6" fillId="5" borderId="5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top" wrapText="1"/>
      <protection hidden="1"/>
    </xf>
    <xf numFmtId="0" fontId="7" fillId="6" borderId="6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/>
      <protection hidden="1"/>
    </xf>
    <xf numFmtId="0" fontId="3" fillId="7" borderId="7" xfId="0" applyFont="1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7" fillId="5" borderId="10" xfId="0" applyFont="1" applyFill="1" applyBorder="1" applyAlignment="1" applyProtection="1">
      <alignment horizontal="center" vertical="top"/>
      <protection hidden="1"/>
    </xf>
    <xf numFmtId="0" fontId="7" fillId="5" borderId="11" xfId="0" applyFont="1" applyFill="1" applyBorder="1" applyAlignment="1" applyProtection="1">
      <alignment horizontal="center" vertical="top"/>
      <protection hidden="1"/>
    </xf>
    <xf numFmtId="0" fontId="7" fillId="5" borderId="1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/>
      <protection hidden="1"/>
    </xf>
    <xf numFmtId="0" fontId="7" fillId="2" borderId="2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7" fillId="2" borderId="3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7" fillId="2" borderId="5" xfId="0" applyFont="1" applyFill="1" applyBorder="1" applyAlignment="1" applyProtection="1">
      <alignment/>
      <protection hidden="1"/>
    </xf>
    <xf numFmtId="0" fontId="6" fillId="2" borderId="4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 applyProtection="1">
      <alignment/>
      <protection hidden="1"/>
    </xf>
    <xf numFmtId="0" fontId="6" fillId="3" borderId="1" xfId="0" applyFont="1" applyFill="1" applyBorder="1" applyAlignment="1" applyProtection="1">
      <alignment/>
      <protection hidden="1"/>
    </xf>
    <xf numFmtId="0" fontId="7" fillId="3" borderId="3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7" fillId="4" borderId="2" xfId="0" applyFont="1" applyFill="1" applyBorder="1" applyAlignment="1" applyProtection="1">
      <alignment/>
      <protection hidden="1"/>
    </xf>
    <xf numFmtId="0" fontId="6" fillId="4" borderId="1" xfId="0" applyFont="1" applyFill="1" applyBorder="1" applyAlignment="1" applyProtection="1">
      <alignment/>
      <protection hidden="1"/>
    </xf>
    <xf numFmtId="0" fontId="7" fillId="4" borderId="3" xfId="0" applyFont="1" applyFill="1" applyBorder="1" applyAlignment="1" applyProtection="1">
      <alignment/>
      <protection hidden="1"/>
    </xf>
    <xf numFmtId="0" fontId="6" fillId="4" borderId="0" xfId="0" applyFont="1" applyFill="1" applyBorder="1" applyAlignment="1" applyProtection="1">
      <alignment/>
      <protection hidden="1"/>
    </xf>
    <xf numFmtId="0" fontId="6" fillId="4" borderId="4" xfId="0" applyFont="1" applyFill="1" applyBorder="1" applyAlignment="1" applyProtection="1">
      <alignment/>
      <protection hidden="1"/>
    </xf>
    <xf numFmtId="44" fontId="0" fillId="7" borderId="7" xfId="0" applyNumberFormat="1" applyFill="1" applyBorder="1" applyAlignment="1" applyProtection="1">
      <alignment/>
      <protection hidden="1"/>
    </xf>
    <xf numFmtId="44" fontId="7" fillId="7" borderId="8" xfId="0" applyNumberFormat="1" applyFont="1" applyFill="1" applyBorder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44" fontId="3" fillId="0" borderId="0" xfId="0" applyNumberFormat="1" applyFont="1" applyAlignment="1" applyProtection="1">
      <alignment/>
      <protection hidden="1"/>
    </xf>
    <xf numFmtId="0" fontId="7" fillId="8" borderId="7" xfId="0" applyFont="1" applyFill="1" applyBorder="1" applyAlignment="1" applyProtection="1">
      <alignment horizontal="center" vertical="center"/>
      <protection hidden="1"/>
    </xf>
    <xf numFmtId="0" fontId="7" fillId="8" borderId="7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 horizontal="right"/>
      <protection hidden="1"/>
    </xf>
    <xf numFmtId="44" fontId="6" fillId="2" borderId="1" xfId="0" applyNumberFormat="1" applyFont="1" applyFill="1" applyBorder="1" applyAlignment="1" applyProtection="1">
      <alignment/>
      <protection hidden="1"/>
    </xf>
    <xf numFmtId="0" fontId="6" fillId="2" borderId="13" xfId="0" applyFont="1" applyFill="1" applyBorder="1" applyAlignment="1" applyProtection="1">
      <alignment/>
      <protection hidden="1"/>
    </xf>
    <xf numFmtId="0" fontId="6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 horizontal="right"/>
      <protection hidden="1"/>
    </xf>
    <xf numFmtId="44" fontId="6" fillId="3" borderId="0" xfId="0" applyNumberFormat="1" applyFont="1" applyFill="1" applyBorder="1" applyAlignment="1" applyProtection="1">
      <alignment/>
      <protection hidden="1"/>
    </xf>
    <xf numFmtId="0" fontId="6" fillId="3" borderId="15" xfId="0" applyFont="1" applyFill="1" applyBorder="1" applyAlignment="1" applyProtection="1">
      <alignment/>
      <protection hidden="1"/>
    </xf>
    <xf numFmtId="0" fontId="6" fillId="4" borderId="10" xfId="0" applyFont="1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 horizontal="right"/>
      <protection hidden="1"/>
    </xf>
    <xf numFmtId="44" fontId="6" fillId="4" borderId="4" xfId="0" applyNumberFormat="1" applyFont="1" applyFill="1" applyBorder="1" applyAlignment="1" applyProtection="1">
      <alignment/>
      <protection hidden="1"/>
    </xf>
    <xf numFmtId="0" fontId="6" fillId="4" borderId="16" xfId="0" applyFont="1" applyFill="1" applyBorder="1" applyAlignment="1" applyProtection="1">
      <alignment/>
      <protection hidden="1"/>
    </xf>
    <xf numFmtId="0" fontId="7" fillId="9" borderId="7" xfId="0" applyFont="1" applyFill="1" applyBorder="1" applyAlignment="1" applyProtection="1">
      <alignment/>
      <protection hidden="1"/>
    </xf>
    <xf numFmtId="2" fontId="6" fillId="9" borderId="9" xfId="0" applyNumberFormat="1" applyFont="1" applyFill="1" applyBorder="1" applyAlignment="1" applyProtection="1">
      <alignment/>
      <protection hidden="1"/>
    </xf>
    <xf numFmtId="2" fontId="6" fillId="8" borderId="11" xfId="0" applyNumberFormat="1" applyFont="1" applyFill="1" applyBorder="1" applyAlignment="1" applyProtection="1">
      <alignment horizontal="center"/>
      <protection hidden="1"/>
    </xf>
    <xf numFmtId="0" fontId="6" fillId="8" borderId="11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/>
      <protection hidden="1"/>
    </xf>
    <xf numFmtId="0" fontId="6" fillId="5" borderId="13" xfId="0" applyFont="1" applyFill="1" applyBorder="1" applyAlignment="1" applyProtection="1">
      <alignment/>
      <protection hidden="1"/>
    </xf>
    <xf numFmtId="0" fontId="6" fillId="5" borderId="3" xfId="0" applyFont="1" applyFill="1" applyBorder="1" applyAlignment="1" applyProtection="1">
      <alignment/>
      <protection hidden="1"/>
    </xf>
    <xf numFmtId="0" fontId="6" fillId="5" borderId="15" xfId="0" applyFont="1" applyFill="1" applyBorder="1" applyAlignment="1" applyProtection="1">
      <alignment/>
      <protection hidden="1"/>
    </xf>
    <xf numFmtId="2" fontId="6" fillId="5" borderId="15" xfId="0" applyNumberFormat="1" applyFont="1" applyFill="1" applyBorder="1" applyAlignment="1" applyProtection="1">
      <alignment/>
      <protection hidden="1"/>
    </xf>
    <xf numFmtId="0" fontId="6" fillId="5" borderId="5" xfId="0" applyFont="1" applyFill="1" applyBorder="1" applyAlignment="1" applyProtection="1">
      <alignment/>
      <protection hidden="1"/>
    </xf>
    <xf numFmtId="2" fontId="6" fillId="5" borderId="16" xfId="0" applyNumberFormat="1" applyFont="1" applyFill="1" applyBorder="1" applyAlignment="1" applyProtection="1">
      <alignment/>
      <protection hidden="1"/>
    </xf>
    <xf numFmtId="0" fontId="6" fillId="9" borderId="8" xfId="0" applyFont="1" applyFill="1" applyBorder="1" applyAlignment="1" applyProtection="1">
      <alignment/>
      <protection hidden="1"/>
    </xf>
    <xf numFmtId="0" fontId="7" fillId="9" borderId="8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4" fontId="7" fillId="0" borderId="0" xfId="0" applyNumberFormat="1" applyFont="1" applyAlignment="1" applyProtection="1">
      <alignment/>
      <protection hidden="1"/>
    </xf>
    <xf numFmtId="0" fontId="9" fillId="10" borderId="0" xfId="0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6" fillId="9" borderId="0" xfId="0" applyFont="1" applyFill="1" applyAlignment="1" applyProtection="1">
      <alignment/>
      <protection hidden="1"/>
    </xf>
    <xf numFmtId="2" fontId="3" fillId="10" borderId="0" xfId="0" applyNumberFormat="1" applyFont="1" applyFill="1" applyAlignment="1" applyProtection="1">
      <alignment/>
      <protection hidden="1"/>
    </xf>
    <xf numFmtId="0" fontId="3" fillId="10" borderId="0" xfId="0" applyFont="1" applyFill="1" applyAlignment="1" applyProtection="1">
      <alignment/>
      <protection hidden="1"/>
    </xf>
    <xf numFmtId="0" fontId="3" fillId="8" borderId="0" xfId="0" applyFont="1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4" fillId="5" borderId="6" xfId="0" applyFont="1" applyFill="1" applyBorder="1" applyAlignment="1" applyProtection="1">
      <alignment horizontal="center" vertical="center"/>
      <protection hidden="1" locked="0"/>
    </xf>
    <xf numFmtId="0" fontId="8" fillId="5" borderId="12" xfId="0" applyFont="1" applyFill="1" applyBorder="1" applyAlignment="1" applyProtection="1">
      <alignment horizontal="center"/>
      <protection hidden="1" locked="0"/>
    </xf>
    <xf numFmtId="0" fontId="6" fillId="5" borderId="0" xfId="0" applyFont="1" applyFill="1" applyBorder="1" applyAlignment="1" applyProtection="1">
      <alignment/>
      <protection hidden="1"/>
    </xf>
    <xf numFmtId="166" fontId="0" fillId="0" borderId="0" xfId="0" applyNumberFormat="1" applyAlignment="1">
      <alignment/>
    </xf>
    <xf numFmtId="2" fontId="3" fillId="10" borderId="0" xfId="0" applyNumberFormat="1" applyFont="1" applyFill="1" applyAlignment="1" applyProtection="1" quotePrefix="1">
      <alignment/>
      <protection hidden="1"/>
    </xf>
    <xf numFmtId="164" fontId="6" fillId="0" borderId="12" xfId="0" applyNumberFormat="1" applyFont="1" applyBorder="1" applyAlignment="1" applyProtection="1">
      <alignment/>
      <protection hidden="1"/>
    </xf>
    <xf numFmtId="164" fontId="6" fillId="0" borderId="14" xfId="0" applyNumberFormat="1" applyFont="1" applyBorder="1" applyAlignment="1" applyProtection="1">
      <alignment/>
      <protection hidden="1"/>
    </xf>
    <xf numFmtId="164" fontId="6" fillId="0" borderId="10" xfId="0" applyNumberFormat="1" applyFont="1" applyBorder="1" applyAlignment="1" applyProtection="1">
      <alignment/>
      <protection hidden="1"/>
    </xf>
    <xf numFmtId="164" fontId="7" fillId="7" borderId="9" xfId="0" applyNumberFormat="1" applyFont="1" applyFill="1" applyBorder="1" applyAlignment="1" applyProtection="1">
      <alignment/>
      <protection hidden="1"/>
    </xf>
    <xf numFmtId="167" fontId="6" fillId="5" borderId="14" xfId="0" applyNumberFormat="1" applyFont="1" applyFill="1" applyBorder="1" applyAlignment="1" applyProtection="1">
      <alignment/>
      <protection hidden="1"/>
    </xf>
    <xf numFmtId="167" fontId="6" fillId="5" borderId="10" xfId="0" applyNumberFormat="1" applyFont="1" applyFill="1" applyBorder="1" applyAlignment="1" applyProtection="1">
      <alignment/>
      <protection hidden="1"/>
    </xf>
    <xf numFmtId="164" fontId="6" fillId="5" borderId="14" xfId="0" applyNumberFormat="1" applyFont="1" applyFill="1" applyBorder="1" applyAlignment="1" applyProtection="1">
      <alignment/>
      <protection hidden="1"/>
    </xf>
    <xf numFmtId="164" fontId="6" fillId="5" borderId="10" xfId="0" applyNumberFormat="1" applyFont="1" applyFill="1" applyBorder="1" applyAlignment="1" applyProtection="1">
      <alignment/>
      <protection hidden="1"/>
    </xf>
    <xf numFmtId="164" fontId="7" fillId="9" borderId="9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64" fontId="6" fillId="0" borderId="12" xfId="0" applyNumberFormat="1" applyFont="1" applyBorder="1" applyAlignment="1" applyProtection="1">
      <alignment horizontal="right"/>
      <protection hidden="1"/>
    </xf>
    <xf numFmtId="164" fontId="6" fillId="0" borderId="14" xfId="0" applyNumberFormat="1" applyFont="1" applyBorder="1" applyAlignment="1" applyProtection="1">
      <alignment horizontal="right"/>
      <protection hidden="1"/>
    </xf>
    <xf numFmtId="166" fontId="6" fillId="2" borderId="3" xfId="0" applyNumberFormat="1" applyFont="1" applyFill="1" applyBorder="1" applyAlignment="1" applyProtection="1">
      <alignment/>
      <protection hidden="1"/>
    </xf>
    <xf numFmtId="166" fontId="6" fillId="3" borderId="3" xfId="0" applyNumberFormat="1" applyFont="1" applyFill="1" applyBorder="1" applyAlignment="1" applyProtection="1">
      <alignment/>
      <protection hidden="1"/>
    </xf>
    <xf numFmtId="166" fontId="6" fillId="4" borderId="3" xfId="0" applyNumberFormat="1" applyFont="1" applyFill="1" applyBorder="1" applyAlignment="1" applyProtection="1">
      <alignment/>
      <protection hidden="1"/>
    </xf>
    <xf numFmtId="1" fontId="6" fillId="5" borderId="0" xfId="0" applyNumberFormat="1" applyFont="1" applyFill="1" applyBorder="1" applyAlignment="1" applyProtection="1">
      <alignment/>
      <protection hidden="1"/>
    </xf>
    <xf numFmtId="0" fontId="6" fillId="11" borderId="11" xfId="0" applyFont="1" applyFill="1" applyBorder="1" applyAlignment="1" applyProtection="1">
      <alignment/>
      <protection hidden="1"/>
    </xf>
    <xf numFmtId="167" fontId="6" fillId="5" borderId="11" xfId="0" applyNumberFormat="1" applyFont="1" applyFill="1" applyBorder="1" applyAlignment="1" applyProtection="1">
      <alignment/>
      <protection hidden="1"/>
    </xf>
    <xf numFmtId="1" fontId="6" fillId="5" borderId="7" xfId="0" applyNumberFormat="1" applyFont="1" applyFill="1" applyBorder="1" applyAlignment="1" applyProtection="1">
      <alignment/>
      <protection hidden="1"/>
    </xf>
    <xf numFmtId="0" fontId="6" fillId="5" borderId="9" xfId="0" applyFont="1" applyFill="1" applyBorder="1" applyAlignment="1" applyProtection="1">
      <alignment/>
      <protection hidden="1"/>
    </xf>
    <xf numFmtId="0" fontId="6" fillId="12" borderId="7" xfId="0" applyFont="1" applyFill="1" applyBorder="1" applyAlignment="1" applyProtection="1">
      <alignment/>
      <protection hidden="1"/>
    </xf>
    <xf numFmtId="0" fontId="6" fillId="12" borderId="9" xfId="0" applyFont="1" applyFill="1" applyBorder="1" applyAlignment="1" applyProtection="1">
      <alignment/>
      <protection hidden="1"/>
    </xf>
    <xf numFmtId="0" fontId="6" fillId="6" borderId="7" xfId="0" applyFont="1" applyFill="1" applyBorder="1" applyAlignment="1" applyProtection="1">
      <alignment/>
      <protection hidden="1"/>
    </xf>
    <xf numFmtId="0" fontId="6" fillId="6" borderId="9" xfId="0" applyFont="1" applyFill="1" applyBorder="1" applyAlignment="1" applyProtection="1">
      <alignment/>
      <protection hidden="1"/>
    </xf>
    <xf numFmtId="164" fontId="6" fillId="5" borderId="9" xfId="0" applyNumberFormat="1" applyFon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6" fillId="0" borderId="12" xfId="0" applyNumberFormat="1" applyFont="1" applyBorder="1" applyAlignment="1" applyProtection="1" quotePrefix="1">
      <alignment horizontal="right"/>
      <protection hidden="1"/>
    </xf>
    <xf numFmtId="44" fontId="7" fillId="8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Border="1" applyAlignment="1" applyProtection="1" quotePrefix="1">
      <alignment horizontal="right"/>
      <protection hidden="1"/>
    </xf>
    <xf numFmtId="164" fontId="6" fillId="0" borderId="0" xfId="0" applyNumberFormat="1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/>
      <protection hidden="1"/>
    </xf>
    <xf numFmtId="164" fontId="6" fillId="0" borderId="1" xfId="0" applyNumberFormat="1" applyFont="1" applyBorder="1" applyAlignment="1" applyProtection="1" quotePrefix="1">
      <alignment horizontal="right"/>
      <protection hidden="1"/>
    </xf>
    <xf numFmtId="164" fontId="6" fillId="0" borderId="1" xfId="0" applyNumberFormat="1" applyFont="1" applyBorder="1" applyAlignment="1" applyProtection="1">
      <alignment/>
      <protection hidden="1"/>
    </xf>
    <xf numFmtId="164" fontId="6" fillId="0" borderId="1" xfId="0" applyNumberFormat="1" applyFont="1" applyBorder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/>
      <protection hidden="1" locked="0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 locked="0"/>
    </xf>
    <xf numFmtId="0" fontId="7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right"/>
      <protection hidden="1"/>
    </xf>
    <xf numFmtId="1" fontId="7" fillId="13" borderId="2" xfId="0" applyNumberFormat="1" applyFont="1" applyFill="1" applyBorder="1" applyAlignment="1" applyProtection="1">
      <alignment/>
      <protection hidden="1"/>
    </xf>
    <xf numFmtId="44" fontId="7" fillId="13" borderId="13" xfId="0" applyNumberFormat="1" applyFont="1" applyFill="1" applyBorder="1" applyAlignment="1" applyProtection="1">
      <alignment/>
      <protection hidden="1"/>
    </xf>
    <xf numFmtId="2" fontId="7" fillId="13" borderId="2" xfId="0" applyNumberFormat="1" applyFont="1" applyFill="1" applyBorder="1" applyAlignment="1" applyProtection="1">
      <alignment/>
      <protection hidden="1"/>
    </xf>
    <xf numFmtId="0" fontId="6" fillId="13" borderId="13" xfId="0" applyFont="1" applyFill="1" applyBorder="1" applyAlignment="1" applyProtection="1">
      <alignment/>
      <protection hidden="1"/>
    </xf>
    <xf numFmtId="166" fontId="7" fillId="13" borderId="2" xfId="0" applyNumberFormat="1" applyFont="1" applyFill="1" applyBorder="1" applyAlignment="1" applyProtection="1">
      <alignment/>
      <protection hidden="1"/>
    </xf>
    <xf numFmtId="0" fontId="6" fillId="13" borderId="13" xfId="0" applyFont="1" applyFill="1" applyBorder="1" applyAlignment="1" applyProtection="1">
      <alignment/>
      <protection hidden="1"/>
    </xf>
    <xf numFmtId="2" fontId="7" fillId="13" borderId="2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1" fontId="7" fillId="0" borderId="0" xfId="0" applyNumberFormat="1" applyFont="1" applyFill="1" applyBorder="1" applyAlignment="1" applyProtection="1">
      <alignment/>
      <protection hidden="1"/>
    </xf>
    <xf numFmtId="44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166" fontId="7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right"/>
      <protection hidden="1"/>
    </xf>
    <xf numFmtId="1" fontId="6" fillId="0" borderId="1" xfId="0" applyNumberFormat="1" applyFont="1" applyFill="1" applyBorder="1" applyAlignment="1" applyProtection="1">
      <alignment/>
      <protection hidden="1"/>
    </xf>
    <xf numFmtId="44" fontId="6" fillId="0" borderId="1" xfId="0" applyNumberFormat="1" applyFont="1" applyFill="1" applyBorder="1" applyAlignment="1" applyProtection="1">
      <alignment/>
      <protection hidden="1"/>
    </xf>
    <xf numFmtId="164" fontId="6" fillId="0" borderId="1" xfId="0" applyNumberFormat="1" applyFont="1" applyFill="1" applyBorder="1" applyAlignment="1" applyProtection="1">
      <alignment/>
      <protection hidden="1"/>
    </xf>
    <xf numFmtId="166" fontId="6" fillId="0" borderId="1" xfId="0" applyNumberFormat="1" applyFont="1" applyFill="1" applyBorder="1" applyAlignment="1" applyProtection="1">
      <alignment/>
      <protection hidden="1"/>
    </xf>
    <xf numFmtId="2" fontId="6" fillId="0" borderId="1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/>
      <protection hidden="1"/>
    </xf>
    <xf numFmtId="2" fontId="6" fillId="0" borderId="1" xfId="0" applyNumberFormat="1" applyFont="1" applyFill="1" applyBorder="1" applyAlignment="1" applyProtection="1">
      <alignment/>
      <protection hidden="1"/>
    </xf>
    <xf numFmtId="167" fontId="6" fillId="0" borderId="1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2" fontId="6" fillId="8" borderId="7" xfId="0" applyNumberFormat="1" applyFont="1" applyFill="1" applyBorder="1" applyAlignment="1" applyProtection="1">
      <alignment horizontal="center"/>
      <protection hidden="1"/>
    </xf>
    <xf numFmtId="2" fontId="6" fillId="8" borderId="9" xfId="0" applyNumberFormat="1" applyFont="1" applyFill="1" applyBorder="1" applyAlignment="1" applyProtection="1">
      <alignment horizontal="center"/>
      <protection hidden="1"/>
    </xf>
    <xf numFmtId="0" fontId="4" fillId="5" borderId="17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5" borderId="3" xfId="0" applyFill="1" applyBorder="1" applyAlignment="1" applyProtection="1">
      <alignment vertical="center" wrapText="1"/>
      <protection hidden="1"/>
    </xf>
    <xf numFmtId="0" fontId="0" fillId="5" borderId="0" xfId="0" applyFill="1" applyAlignment="1" applyProtection="1">
      <alignment vertical="center" wrapText="1"/>
      <protection hidden="1"/>
    </xf>
    <xf numFmtId="0" fontId="0" fillId="0" borderId="0" xfId="0" applyAlignment="1">
      <alignment/>
    </xf>
    <xf numFmtId="0" fontId="3" fillId="13" borderId="7" xfId="0" applyFont="1" applyFill="1" applyBorder="1" applyAlignment="1" applyProtection="1">
      <alignment/>
      <protection hidden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6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6" fillId="12" borderId="7" xfId="0" applyFont="1" applyFill="1" applyBorder="1" applyAlignment="1">
      <alignment wrapText="1"/>
    </xf>
    <xf numFmtId="0" fontId="6" fillId="12" borderId="8" xfId="0" applyFont="1" applyFill="1" applyBorder="1" applyAlignment="1">
      <alignment wrapText="1"/>
    </xf>
    <xf numFmtId="0" fontId="6" fillId="12" borderId="9" xfId="0" applyFont="1" applyFill="1" applyBorder="1" applyAlignment="1">
      <alignment wrapText="1"/>
    </xf>
    <xf numFmtId="0" fontId="6" fillId="11" borderId="7" xfId="0" applyFont="1" applyFill="1" applyBorder="1" applyAlignment="1" applyProtection="1">
      <alignment/>
      <protection hidden="1"/>
    </xf>
    <xf numFmtId="0" fontId="6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0" borderId="3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0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 horizont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0" fontId="5" fillId="14" borderId="0" xfId="0" applyFont="1" applyFill="1" applyAlignment="1" applyProtection="1">
      <alignment vertical="center"/>
      <protection hidden="1"/>
    </xf>
    <xf numFmtId="0" fontId="6" fillId="14" borderId="0" xfId="0" applyFont="1" applyFill="1" applyAlignment="1" applyProtection="1">
      <alignment vertical="center"/>
      <protection hidden="1"/>
    </xf>
    <xf numFmtId="2" fontId="3" fillId="10" borderId="0" xfId="0" applyNumberFormat="1" applyFon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44" fontId="3" fillId="10" borderId="0" xfId="0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44" fontId="6" fillId="9" borderId="0" xfId="0" applyNumberFormat="1" applyFont="1" applyFill="1" applyAlignment="1" applyProtection="1">
      <alignment/>
      <protection hidden="1"/>
    </xf>
    <xf numFmtId="44" fontId="6" fillId="7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showRowColHeaders="0" tabSelected="1" showOutlineSymbols="0" workbookViewId="0" topLeftCell="A1">
      <selection activeCell="I6" sqref="I6:K6"/>
    </sheetView>
  </sheetViews>
  <sheetFormatPr defaultColWidth="11.421875" defaultRowHeight="12.75"/>
  <cols>
    <col min="1" max="1" width="3.140625" style="0" customWidth="1"/>
    <col min="3" max="3" width="18.421875" style="0" customWidth="1"/>
    <col min="7" max="7" width="12.140625" style="0" bestFit="1" customWidth="1"/>
    <col min="11" max="11" width="9.8515625" style="0" customWidth="1"/>
    <col min="14" max="14" width="0" style="0" hidden="1" customWidth="1"/>
    <col min="15" max="15" width="20.28125" style="0" hidden="1" customWidth="1"/>
    <col min="16" max="16" width="16.8515625" style="0" hidden="1" customWidth="1"/>
    <col min="17" max="17" width="0" style="0" hidden="1" customWidth="1"/>
    <col min="18" max="18" width="13.00390625" style="0" hidden="1" customWidth="1"/>
    <col min="19" max="19" width="12.7109375" style="0" hidden="1" customWidth="1"/>
    <col min="20" max="21" width="0" style="0" hidden="1" customWidth="1"/>
  </cols>
  <sheetData>
    <row r="1" spans="1:13" ht="12.75">
      <c r="A1" s="16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20"/>
      <c r="L1" s="16"/>
      <c r="M1" s="16"/>
    </row>
    <row r="2" spans="1:13" ht="12.75">
      <c r="A2" s="16"/>
      <c r="B2" s="167"/>
      <c r="C2" s="168"/>
      <c r="D2" s="168"/>
      <c r="E2" s="168"/>
      <c r="F2" s="168"/>
      <c r="G2" s="168"/>
      <c r="H2" s="168"/>
      <c r="I2" s="168"/>
      <c r="J2" s="168"/>
      <c r="K2" s="120"/>
      <c r="L2" s="16"/>
      <c r="M2" s="16"/>
    </row>
    <row r="3" spans="1:13" ht="15.75">
      <c r="A3" s="16"/>
      <c r="B3" s="198" t="s">
        <v>1</v>
      </c>
      <c r="C3" s="199"/>
      <c r="D3" s="199"/>
      <c r="E3" s="199"/>
      <c r="F3" s="199"/>
      <c r="G3" s="199"/>
      <c r="H3" s="199"/>
      <c r="I3" s="199"/>
      <c r="J3" s="199"/>
      <c r="K3" s="16"/>
      <c r="L3" s="16"/>
      <c r="M3" s="16"/>
    </row>
    <row r="4" spans="1:13" ht="12.75">
      <c r="A4" s="16"/>
      <c r="B4" s="196" t="s">
        <v>106</v>
      </c>
      <c r="C4" s="197"/>
      <c r="D4" s="197"/>
      <c r="E4" s="197"/>
      <c r="F4" s="197"/>
      <c r="G4" s="197"/>
      <c r="H4" s="197"/>
      <c r="I4" s="197"/>
      <c r="J4" s="197"/>
      <c r="K4" s="16"/>
      <c r="L4" s="16"/>
      <c r="M4" s="16"/>
    </row>
    <row r="5" spans="1:13" ht="12.75">
      <c r="A5" s="16"/>
      <c r="B5" s="167"/>
      <c r="C5" s="168"/>
      <c r="D5" s="168"/>
      <c r="E5" s="168"/>
      <c r="F5" s="168"/>
      <c r="G5" s="168"/>
      <c r="H5" s="168"/>
      <c r="I5" s="168"/>
      <c r="J5" s="168"/>
      <c r="K5" s="16"/>
      <c r="L5" s="16"/>
      <c r="M5" s="16"/>
    </row>
    <row r="6" spans="1:15" ht="16.5" thickBot="1">
      <c r="A6" s="16"/>
      <c r="B6" s="17"/>
      <c r="C6" s="18"/>
      <c r="D6" s="18"/>
      <c r="E6" s="200" t="s">
        <v>2</v>
      </c>
      <c r="F6" s="200"/>
      <c r="G6" s="200"/>
      <c r="H6" s="18"/>
      <c r="I6" s="201" t="s">
        <v>3</v>
      </c>
      <c r="J6" s="202"/>
      <c r="K6" s="202"/>
      <c r="L6" s="16"/>
      <c r="M6" s="16"/>
      <c r="O6" t="s">
        <v>100</v>
      </c>
    </row>
    <row r="7" spans="1:18" ht="24.75" thickBot="1">
      <c r="A7" s="19"/>
      <c r="B7" s="192" t="s">
        <v>4</v>
      </c>
      <c r="C7" s="193"/>
      <c r="D7" s="20" t="s">
        <v>5</v>
      </c>
      <c r="E7" s="20" t="s">
        <v>6</v>
      </c>
      <c r="F7" s="20" t="s">
        <v>53</v>
      </c>
      <c r="G7" s="20" t="s">
        <v>12</v>
      </c>
      <c r="H7" s="20" t="s">
        <v>7</v>
      </c>
      <c r="I7" s="20" t="s">
        <v>85</v>
      </c>
      <c r="J7" s="21" t="s">
        <v>86</v>
      </c>
      <c r="K7" s="20" t="s">
        <v>104</v>
      </c>
      <c r="L7" s="22"/>
      <c r="M7" s="16"/>
      <c r="O7" t="s">
        <v>101</v>
      </c>
      <c r="P7" t="s">
        <v>102</v>
      </c>
      <c r="Q7" s="166" t="s">
        <v>104</v>
      </c>
      <c r="R7" s="166" t="s">
        <v>103</v>
      </c>
    </row>
    <row r="8" spans="1:18" ht="13.5" thickBot="1">
      <c r="A8" s="19"/>
      <c r="B8" s="194"/>
      <c r="C8" s="195"/>
      <c r="D8" s="90" t="s">
        <v>49</v>
      </c>
      <c r="E8" s="90" t="s">
        <v>49</v>
      </c>
      <c r="F8" s="90" t="s">
        <v>49</v>
      </c>
      <c r="G8" s="90" t="s">
        <v>49</v>
      </c>
      <c r="H8" s="90" t="s">
        <v>52</v>
      </c>
      <c r="I8" s="90" t="s">
        <v>49</v>
      </c>
      <c r="J8" s="90" t="s">
        <v>49</v>
      </c>
      <c r="K8" s="165" t="s">
        <v>50</v>
      </c>
      <c r="L8" s="23" t="s">
        <v>83</v>
      </c>
      <c r="M8" s="16"/>
      <c r="O8">
        <f>IF($I$8="JA",1,0)</f>
        <v>1</v>
      </c>
      <c r="P8">
        <f>IF($J$8="JA",1,0)</f>
        <v>1</v>
      </c>
      <c r="Q8">
        <f>IF($K$8="NEIN",0,1)</f>
        <v>0</v>
      </c>
      <c r="R8">
        <f>IF(SUM($O$8,$P$8)=0,0,IF($Q$8=0,D37,0))</f>
        <v>0</v>
      </c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9" ht="12.75">
      <c r="A10" s="16"/>
      <c r="B10" s="24" t="s">
        <v>8</v>
      </c>
      <c r="C10" s="25"/>
      <c r="D10" s="26"/>
      <c r="E10" s="16"/>
      <c r="F10" s="16"/>
      <c r="G10" s="16"/>
      <c r="H10" s="16"/>
      <c r="I10" s="16"/>
      <c r="J10" s="16"/>
      <c r="K10" s="16"/>
      <c r="L10" s="16"/>
      <c r="M10" s="16"/>
      <c r="S10" s="2" t="s">
        <v>22</v>
      </c>
    </row>
    <row r="11" spans="1:21" ht="12.75">
      <c r="A11" s="27"/>
      <c r="B11" s="28"/>
      <c r="C11" s="28"/>
      <c r="D11" s="29" t="s">
        <v>9</v>
      </c>
      <c r="E11" s="30" t="s">
        <v>10</v>
      </c>
      <c r="F11" s="30" t="s">
        <v>11</v>
      </c>
      <c r="G11" s="30" t="s">
        <v>12</v>
      </c>
      <c r="H11" s="30" t="s">
        <v>6</v>
      </c>
      <c r="I11" s="31" t="s">
        <v>13</v>
      </c>
      <c r="J11" s="30" t="s">
        <v>14</v>
      </c>
      <c r="K11" s="27"/>
      <c r="L11" s="27"/>
      <c r="M11" s="28"/>
      <c r="N11" s="2"/>
      <c r="O11" s="2"/>
      <c r="P11" s="2" t="s">
        <v>70</v>
      </c>
      <c r="Q11" s="2" t="s">
        <v>71</v>
      </c>
      <c r="R11" s="2" t="s">
        <v>72</v>
      </c>
      <c r="S11" s="2" t="s">
        <v>89</v>
      </c>
      <c r="T11" s="2" t="s">
        <v>90</v>
      </c>
      <c r="U11" s="2" t="s">
        <v>91</v>
      </c>
    </row>
    <row r="12" spans="1:21" ht="12.75">
      <c r="A12" s="16"/>
      <c r="B12" s="33" t="s">
        <v>15</v>
      </c>
      <c r="C12" s="34" t="s">
        <v>16</v>
      </c>
      <c r="D12" s="91">
        <v>0</v>
      </c>
      <c r="E12" s="95">
        <f>IF($D$8="JA",D12*$P$12,0)</f>
        <v>0</v>
      </c>
      <c r="F12" s="95">
        <f>D12*$P$13</f>
        <v>0</v>
      </c>
      <c r="G12" s="95">
        <f>IF($G$8="JA",D12*$P$15,0)</f>
        <v>0</v>
      </c>
      <c r="H12" s="95">
        <f>IF($E$8="JA",D12*$P$19,0)</f>
        <v>0</v>
      </c>
      <c r="I12" s="95">
        <f>IF(AND($F$8="JA",MID($H$8,1,3)="MP3"),$P$20*D12,0)</f>
        <v>0</v>
      </c>
      <c r="J12" s="95">
        <f aca="true" t="shared" si="0" ref="J12:J17">SUM(E12:I12)</f>
        <v>0</v>
      </c>
      <c r="K12" s="16"/>
      <c r="L12" s="16"/>
      <c r="M12" s="32"/>
      <c r="O12" s="1" t="s">
        <v>10</v>
      </c>
      <c r="P12" s="3">
        <v>0.3</v>
      </c>
      <c r="Q12" s="3">
        <v>0.6</v>
      </c>
      <c r="R12" s="3">
        <v>0.5</v>
      </c>
      <c r="S12" s="3">
        <v>1.5</v>
      </c>
      <c r="T12" s="3">
        <v>0</v>
      </c>
      <c r="U12" s="3">
        <v>0</v>
      </c>
    </row>
    <row r="13" spans="1:21" ht="12.75">
      <c r="A13" s="16"/>
      <c r="B13" s="35"/>
      <c r="C13" s="36" t="s">
        <v>17</v>
      </c>
      <c r="D13" s="91">
        <v>0</v>
      </c>
      <c r="E13" s="96">
        <f>IF($D$8="JA",D13*$P$12,0)</f>
        <v>0</v>
      </c>
      <c r="F13" s="96">
        <f>D13*$P$13</f>
        <v>0</v>
      </c>
      <c r="G13" s="96">
        <f>IF($G$8="JA",D13*$P$16,0)</f>
        <v>0</v>
      </c>
      <c r="H13" s="96">
        <f>IF($E$8="JA",D13*$P$19,0)</f>
        <v>0</v>
      </c>
      <c r="I13" s="96">
        <f>IF(AND($F$8="JA",MID($H$8,1,3)="MP3"),$P$20*D13,0)</f>
        <v>0</v>
      </c>
      <c r="J13" s="96">
        <f t="shared" si="0"/>
        <v>0</v>
      </c>
      <c r="K13" s="16"/>
      <c r="L13" s="16"/>
      <c r="M13" s="32"/>
      <c r="O13" s="1" t="s">
        <v>11</v>
      </c>
      <c r="P13" s="3">
        <v>1.5</v>
      </c>
      <c r="Q13" s="3">
        <v>8</v>
      </c>
      <c r="R13" s="3">
        <v>4</v>
      </c>
      <c r="S13" s="3">
        <v>5</v>
      </c>
      <c r="T13" s="3">
        <v>7.5</v>
      </c>
      <c r="U13" s="3">
        <v>9</v>
      </c>
    </row>
    <row r="14" spans="1:15" ht="12.75">
      <c r="A14" s="16"/>
      <c r="B14" s="37"/>
      <c r="C14" s="38" t="s">
        <v>18</v>
      </c>
      <c r="D14" s="91">
        <v>0</v>
      </c>
      <c r="E14" s="97">
        <f>IF($D$8="JA",D14*$P$12,0)</f>
        <v>0</v>
      </c>
      <c r="F14" s="97">
        <f>D14*$P$13</f>
        <v>0</v>
      </c>
      <c r="G14" s="97">
        <f>IF($G$8="JA",D14*$P$17,0)</f>
        <v>0</v>
      </c>
      <c r="H14" s="97">
        <f>IF($E$8="JA",D14*$P$19,0)</f>
        <v>0</v>
      </c>
      <c r="I14" s="97">
        <f>IF(AND($F$8="JA",MID($H$8,1,3)="MP3"),$P$20*D14,0)</f>
        <v>0</v>
      </c>
      <c r="J14" s="97">
        <f t="shared" si="0"/>
        <v>0</v>
      </c>
      <c r="K14" s="16"/>
      <c r="L14" s="16"/>
      <c r="M14" s="32"/>
      <c r="O14" s="1" t="s">
        <v>84</v>
      </c>
    </row>
    <row r="15" spans="1:21" ht="12.75">
      <c r="A15" s="16"/>
      <c r="B15" s="39" t="s">
        <v>19</v>
      </c>
      <c r="C15" s="40" t="s">
        <v>16</v>
      </c>
      <c r="D15" s="91">
        <v>0</v>
      </c>
      <c r="E15" s="95">
        <f>IF($D$8="JA",D15*$Q$12,0)</f>
        <v>0</v>
      </c>
      <c r="F15" s="95">
        <f>D15*$Q$13</f>
        <v>0</v>
      </c>
      <c r="G15" s="95">
        <f>IF($G$8="JA",D15*$Q$15,0)</f>
        <v>0</v>
      </c>
      <c r="H15" s="95">
        <f>IF($E$8="JA",D15*$Q$19,0)</f>
        <v>0</v>
      </c>
      <c r="I15" s="95">
        <f>IF(AND($F$8="JA",MID($H$8,1,3)="MP3"),$Q$20*D15,0)</f>
        <v>0</v>
      </c>
      <c r="J15" s="95">
        <f t="shared" si="0"/>
        <v>0</v>
      </c>
      <c r="K15" s="16"/>
      <c r="L15" s="16"/>
      <c r="M15" s="32"/>
      <c r="O15" t="s">
        <v>16</v>
      </c>
      <c r="P15" s="3">
        <v>1</v>
      </c>
      <c r="Q15" s="3">
        <v>5</v>
      </c>
      <c r="R15" s="3">
        <v>1.5</v>
      </c>
      <c r="S15" s="3">
        <v>2</v>
      </c>
      <c r="T15" s="3" t="s">
        <v>92</v>
      </c>
      <c r="U15" s="3" t="s">
        <v>92</v>
      </c>
    </row>
    <row r="16" spans="1:21" ht="12.75">
      <c r="A16" s="16"/>
      <c r="B16" s="41"/>
      <c r="C16" s="42" t="s">
        <v>17</v>
      </c>
      <c r="D16" s="91">
        <v>0</v>
      </c>
      <c r="E16" s="96">
        <f>IF($D$8="JA",D16*$Q$12,0)</f>
        <v>0</v>
      </c>
      <c r="F16" s="96">
        <f>D16*$Q$13</f>
        <v>0</v>
      </c>
      <c r="G16" s="96">
        <f>IF($G$8="JA",D16*$Q$16,0)</f>
        <v>0</v>
      </c>
      <c r="H16" s="96">
        <f>IF($E$8="JA",D16*$Q$19,0)</f>
        <v>0</v>
      </c>
      <c r="I16" s="96">
        <f>IF(AND($F$8="JA",MID($H$8,1,3)="MP3"),$Q$20*D16,0)</f>
        <v>0</v>
      </c>
      <c r="J16" s="96">
        <f t="shared" si="0"/>
        <v>0</v>
      </c>
      <c r="K16" s="16"/>
      <c r="L16" s="16"/>
      <c r="M16" s="32"/>
      <c r="O16" t="s">
        <v>17</v>
      </c>
      <c r="P16" s="3">
        <v>2</v>
      </c>
      <c r="Q16" s="3">
        <v>7.5</v>
      </c>
      <c r="R16" s="3">
        <v>3</v>
      </c>
      <c r="S16" s="3">
        <v>3</v>
      </c>
      <c r="T16" s="3" t="s">
        <v>92</v>
      </c>
      <c r="U16" s="3" t="s">
        <v>92</v>
      </c>
    </row>
    <row r="17" spans="1:21" ht="12.75">
      <c r="A17" s="16"/>
      <c r="B17" s="43"/>
      <c r="C17" s="44" t="s">
        <v>18</v>
      </c>
      <c r="D17" s="91">
        <v>0</v>
      </c>
      <c r="E17" s="97">
        <f>IF($D$8="JA",D17*$Q$12,0)</f>
        <v>0</v>
      </c>
      <c r="F17" s="97">
        <f>D17*$Q$13</f>
        <v>0</v>
      </c>
      <c r="G17" s="97">
        <f>IF($G$8="JA",D17*$Q$17,0)</f>
        <v>0</v>
      </c>
      <c r="H17" s="97">
        <f>IF($E$8="JA",D17*$Q$19,0)</f>
        <v>0</v>
      </c>
      <c r="I17" s="97">
        <f>IF(AND($F$8="JA",MID($H$8,1,3)="MP3"),$Q$20*D17,0)</f>
        <v>0</v>
      </c>
      <c r="J17" s="97">
        <f t="shared" si="0"/>
        <v>0</v>
      </c>
      <c r="K17" s="16"/>
      <c r="L17" s="104"/>
      <c r="M17" s="32"/>
      <c r="O17" t="s">
        <v>18</v>
      </c>
      <c r="P17" s="3">
        <v>3</v>
      </c>
      <c r="Q17" s="3">
        <v>10</v>
      </c>
      <c r="R17" s="3">
        <v>5</v>
      </c>
      <c r="S17" s="3">
        <v>4</v>
      </c>
      <c r="T17" s="3" t="s">
        <v>92</v>
      </c>
      <c r="U17" s="3" t="s">
        <v>92</v>
      </c>
    </row>
    <row r="18" spans="1:15" ht="12.75">
      <c r="A18" s="16"/>
      <c r="B18" s="45" t="s">
        <v>22</v>
      </c>
      <c r="C18" s="46" t="s">
        <v>23</v>
      </c>
      <c r="D18" s="91">
        <v>0</v>
      </c>
      <c r="E18" s="121" t="s">
        <v>93</v>
      </c>
      <c r="F18" s="95">
        <f>D18*$S$13</f>
        <v>0</v>
      </c>
      <c r="G18" s="105" t="str">
        <f>CONCATENATE("(ca. ",S15*D18,".00)")</f>
        <v>(ca. 0.00)</v>
      </c>
      <c r="H18" s="95">
        <f>IF($E$8="JA",D18*$S$19,0)</f>
        <v>0</v>
      </c>
      <c r="I18" s="95">
        <f>IF(AND($F$8="JA",MID($H$8,1,3)="MP3"),$S$20*D18,0)</f>
        <v>0</v>
      </c>
      <c r="J18" s="95">
        <f>F18+H18+I18</f>
        <v>0</v>
      </c>
      <c r="K18" s="169" t="s">
        <v>69</v>
      </c>
      <c r="L18" s="170"/>
      <c r="M18" s="171"/>
      <c r="O18" s="1" t="s">
        <v>20</v>
      </c>
    </row>
    <row r="19" spans="1:21" ht="12.75">
      <c r="A19" s="16"/>
      <c r="B19" s="47"/>
      <c r="C19" s="48" t="s">
        <v>24</v>
      </c>
      <c r="D19" s="91">
        <v>0</v>
      </c>
      <c r="E19" s="121" t="s">
        <v>93</v>
      </c>
      <c r="F19" s="96">
        <f>D19*$T$13</f>
        <v>0</v>
      </c>
      <c r="G19" s="106" t="str">
        <f>CONCATENATE("(ca. ",S16*D19,".00)")</f>
        <v>(ca. 0.00)</v>
      </c>
      <c r="H19" s="96">
        <f>IF($E$8="JA",D19*$T$19,0)</f>
        <v>0</v>
      </c>
      <c r="I19" s="96">
        <f>IF(AND($F$8="JA",MID($H$8,1,3)="MP3"),$S$20*D19,0)</f>
        <v>0</v>
      </c>
      <c r="J19" s="95">
        <f>F19+H19+I19</f>
        <v>0</v>
      </c>
      <c r="K19" s="169"/>
      <c r="L19" s="170"/>
      <c r="M19" s="171"/>
      <c r="O19" t="s">
        <v>6</v>
      </c>
      <c r="P19" s="3">
        <v>0.5</v>
      </c>
      <c r="Q19" s="3">
        <v>1</v>
      </c>
      <c r="R19" s="3">
        <v>1</v>
      </c>
      <c r="S19" s="3">
        <v>1</v>
      </c>
      <c r="T19" s="3">
        <v>1.5</v>
      </c>
      <c r="U19" s="3">
        <v>2</v>
      </c>
    </row>
    <row r="20" spans="1:21" ht="12.75">
      <c r="A20" s="16"/>
      <c r="B20" s="47"/>
      <c r="C20" s="48" t="s">
        <v>26</v>
      </c>
      <c r="D20" s="91">
        <v>0</v>
      </c>
      <c r="E20" s="121" t="s">
        <v>93</v>
      </c>
      <c r="F20" s="96">
        <f>D20*$U$13</f>
        <v>0</v>
      </c>
      <c r="G20" s="106" t="str">
        <f>CONCATENATE("(ca. ",S17*D20,".00)")</f>
        <v>(ca. 0.00)</v>
      </c>
      <c r="H20" s="97">
        <f>IF($E$8="JA",D20*$U$19,0)</f>
        <v>0</v>
      </c>
      <c r="I20" s="97">
        <f>IF(AND($F$8="JA",MID($H$8,1,3)="MP3"),$S$20*D20,0)</f>
        <v>0</v>
      </c>
      <c r="J20" s="95">
        <f>F20+H20+I20</f>
        <v>0</v>
      </c>
      <c r="K20" s="169"/>
      <c r="L20" s="170"/>
      <c r="M20" s="171"/>
      <c r="O20" t="s">
        <v>21</v>
      </c>
      <c r="P20" s="3">
        <v>0.8</v>
      </c>
      <c r="Q20" s="3">
        <v>3</v>
      </c>
      <c r="R20" s="3">
        <v>0.8</v>
      </c>
      <c r="S20" s="3">
        <v>3</v>
      </c>
      <c r="T20" s="3">
        <v>4</v>
      </c>
      <c r="U20" s="3">
        <v>5</v>
      </c>
    </row>
    <row r="21" spans="1:13" ht="12.75">
      <c r="A21" s="16"/>
      <c r="B21" s="127"/>
      <c r="C21" s="128"/>
      <c r="D21" s="133"/>
      <c r="E21" s="130"/>
      <c r="F21" s="131"/>
      <c r="G21" s="132"/>
      <c r="H21" s="50" t="s">
        <v>27</v>
      </c>
      <c r="I21" s="51"/>
      <c r="J21" s="98">
        <f>SUM(J12:J20)</f>
        <v>0</v>
      </c>
      <c r="K21" s="189"/>
      <c r="L21" s="190"/>
      <c r="M21" s="32"/>
    </row>
    <row r="22" spans="1:15" ht="12.75">
      <c r="A22" s="16"/>
      <c r="B22" s="134"/>
      <c r="C22" s="135"/>
      <c r="D22" s="136"/>
      <c r="E22" s="124"/>
      <c r="F22" s="125"/>
      <c r="G22" s="126"/>
      <c r="H22" s="125"/>
      <c r="I22" s="125"/>
      <c r="J22" s="125"/>
      <c r="K22" s="191"/>
      <c r="L22" s="190"/>
      <c r="M22" s="32"/>
      <c r="O22" s="1" t="s">
        <v>25</v>
      </c>
    </row>
    <row r="23" spans="1:17" ht="12.75">
      <c r="A23" s="16"/>
      <c r="B23" s="172" t="s">
        <v>54</v>
      </c>
      <c r="C23" s="173"/>
      <c r="D23" s="173"/>
      <c r="E23" s="173"/>
      <c r="F23" s="174"/>
      <c r="G23" s="52"/>
      <c r="H23" s="52"/>
      <c r="I23" s="52"/>
      <c r="J23" s="52"/>
      <c r="K23" s="191"/>
      <c r="L23" s="190"/>
      <c r="M23" s="32"/>
      <c r="O23" s="4" t="s">
        <v>94</v>
      </c>
      <c r="P23" s="3">
        <v>1.25</v>
      </c>
      <c r="Q23" s="3"/>
    </row>
    <row r="24" spans="1:21" ht="24">
      <c r="A24" s="16"/>
      <c r="B24" s="54" t="s">
        <v>28</v>
      </c>
      <c r="C24" s="55" t="s">
        <v>67</v>
      </c>
      <c r="D24" s="55" t="s">
        <v>105</v>
      </c>
      <c r="E24" s="123"/>
      <c r="F24" s="122" t="s">
        <v>68</v>
      </c>
      <c r="G24" s="123"/>
      <c r="H24" s="122" t="s">
        <v>74</v>
      </c>
      <c r="I24" s="123"/>
      <c r="J24" s="122" t="s">
        <v>75</v>
      </c>
      <c r="K24" s="123"/>
      <c r="L24" s="16"/>
      <c r="M24" s="16"/>
      <c r="O24" t="s">
        <v>51</v>
      </c>
      <c r="P24" s="93">
        <v>0.002</v>
      </c>
      <c r="Q24" s="93"/>
      <c r="R24" s="93" t="s">
        <v>57</v>
      </c>
      <c r="S24" s="3">
        <v>1.5</v>
      </c>
      <c r="T24" s="93" t="s">
        <v>58</v>
      </c>
      <c r="U24" s="3">
        <v>2</v>
      </c>
    </row>
    <row r="25" spans="1:19" ht="12.75">
      <c r="A25" s="16"/>
      <c r="B25" s="56" t="s">
        <v>15</v>
      </c>
      <c r="C25" s="57" t="str">
        <f>CONCATENATE(SUM(D12:D14)*7," min.")</f>
        <v>0 min.</v>
      </c>
      <c r="D25" s="5">
        <f>SUM(D12:D14)*10</f>
        <v>0</v>
      </c>
      <c r="E25" s="58" t="s">
        <v>30</v>
      </c>
      <c r="F25" s="6">
        <f>D25/700</f>
        <v>0</v>
      </c>
      <c r="G25" s="34" t="s">
        <v>31</v>
      </c>
      <c r="H25" s="107">
        <f>D25/4300</f>
        <v>0</v>
      </c>
      <c r="I25" s="59" t="s">
        <v>76</v>
      </c>
      <c r="J25" s="7">
        <f>(SUM($D12:$D14)*7)/80</f>
        <v>0</v>
      </c>
      <c r="K25" s="59" t="s">
        <v>31</v>
      </c>
      <c r="L25" s="53"/>
      <c r="M25" s="16"/>
      <c r="O25" t="s">
        <v>66</v>
      </c>
      <c r="P25" s="3">
        <v>3</v>
      </c>
      <c r="R25" t="s">
        <v>73</v>
      </c>
      <c r="S25" s="3">
        <v>6</v>
      </c>
    </row>
    <row r="26" spans="1:16" ht="12.75" customHeight="1">
      <c r="A26" s="16"/>
      <c r="B26" s="60" t="s">
        <v>19</v>
      </c>
      <c r="C26" s="61" t="str">
        <f>CONCATENATE(SUM(D15:D17)*50," min.")</f>
        <v>0 min.</v>
      </c>
      <c r="D26" s="8">
        <f>SUM(D15:D17)*100</f>
        <v>0</v>
      </c>
      <c r="E26" s="62" t="s">
        <v>30</v>
      </c>
      <c r="F26" s="9">
        <f>D26/700</f>
        <v>0</v>
      </c>
      <c r="G26" s="42" t="s">
        <v>31</v>
      </c>
      <c r="H26" s="108">
        <f>D26/4300</f>
        <v>0</v>
      </c>
      <c r="I26" s="63" t="s">
        <v>76</v>
      </c>
      <c r="J26" s="10">
        <f>SUM($D15:$D17)</f>
        <v>0</v>
      </c>
      <c r="K26" s="63" t="s">
        <v>31</v>
      </c>
      <c r="L26" s="16"/>
      <c r="M26" s="16"/>
      <c r="O26" t="s">
        <v>29</v>
      </c>
      <c r="P26" s="3">
        <v>1</v>
      </c>
    </row>
    <row r="27" spans="1:16" ht="12.75">
      <c r="A27" s="16"/>
      <c r="B27" s="64" t="s">
        <v>22</v>
      </c>
      <c r="C27" s="65" t="str">
        <f>CONCATENATE(D18*60+D19*90+D20*120," min.")</f>
        <v>0 min.</v>
      </c>
      <c r="D27" s="11">
        <f>D18*112+D19*168+D20*224</f>
        <v>0</v>
      </c>
      <c r="E27" s="66" t="s">
        <v>30</v>
      </c>
      <c r="F27" s="12">
        <f>D27/700</f>
        <v>0</v>
      </c>
      <c r="G27" s="49" t="s">
        <v>31</v>
      </c>
      <c r="H27" s="109">
        <f>D27/4300</f>
        <v>0</v>
      </c>
      <c r="I27" s="67" t="s">
        <v>76</v>
      </c>
      <c r="J27" s="13">
        <f>(D18+D19*2+D20*2)</f>
        <v>0</v>
      </c>
      <c r="K27" s="67" t="s">
        <v>31</v>
      </c>
      <c r="L27" s="16"/>
      <c r="M27" s="16"/>
      <c r="O27" t="s">
        <v>32</v>
      </c>
      <c r="P27" s="3">
        <v>2</v>
      </c>
    </row>
    <row r="28" spans="1:16" ht="12.75">
      <c r="A28" s="16"/>
      <c r="B28" s="137" t="s">
        <v>34</v>
      </c>
      <c r="C28" s="138" t="str">
        <f>CONCATENATE(SUM(D12:D14)*7+SUM(D15:D17)*50+D18*60+D19*90+D20*120," min.")</f>
        <v>0 min.</v>
      </c>
      <c r="D28" s="139">
        <f>SUM(D25:D27)</f>
        <v>0</v>
      </c>
      <c r="E28" s="140" t="s">
        <v>30</v>
      </c>
      <c r="F28" s="141">
        <f>ROUNDUP(SUM(F25:F27),0)</f>
        <v>0</v>
      </c>
      <c r="G28" s="142" t="s">
        <v>31</v>
      </c>
      <c r="H28" s="143">
        <f>ROUNDUP(SUM(H25:H27),0)</f>
        <v>0</v>
      </c>
      <c r="I28" s="144" t="s">
        <v>76</v>
      </c>
      <c r="J28" s="145">
        <f>ROUNDUP(SUM(J25:J27),0)</f>
        <v>0</v>
      </c>
      <c r="K28" s="144" t="s">
        <v>31</v>
      </c>
      <c r="L28" s="16"/>
      <c r="M28" s="16"/>
      <c r="O28" t="s">
        <v>96</v>
      </c>
      <c r="P28" s="3">
        <v>1.5</v>
      </c>
    </row>
    <row r="29" spans="1:17" ht="12.75">
      <c r="A29" s="16"/>
      <c r="B29" s="128"/>
      <c r="C29" s="153"/>
      <c r="D29" s="154"/>
      <c r="E29" s="155"/>
      <c r="F29" s="156"/>
      <c r="G29" s="128"/>
      <c r="H29" s="157"/>
      <c r="I29" s="129"/>
      <c r="J29" s="158"/>
      <c r="K29" s="129"/>
      <c r="L29" s="16"/>
      <c r="M29" s="16"/>
      <c r="O29" s="1" t="s">
        <v>33</v>
      </c>
      <c r="P29" t="s">
        <v>49</v>
      </c>
      <c r="Q29" t="s">
        <v>50</v>
      </c>
    </row>
    <row r="30" spans="1:21" ht="12.75">
      <c r="A30" s="16"/>
      <c r="B30" s="134"/>
      <c r="C30" s="146"/>
      <c r="D30" s="147"/>
      <c r="E30" s="148"/>
      <c r="F30" s="149"/>
      <c r="G30" s="135"/>
      <c r="H30" s="150"/>
      <c r="I30" s="151"/>
      <c r="J30" s="152"/>
      <c r="K30" s="151"/>
      <c r="L30" s="16"/>
      <c r="M30" s="16"/>
      <c r="O30" s="4"/>
      <c r="P30" t="s">
        <v>60</v>
      </c>
      <c r="Q30" t="s">
        <v>73</v>
      </c>
      <c r="R30" t="s">
        <v>61</v>
      </c>
      <c r="S30" t="s">
        <v>62</v>
      </c>
      <c r="T30" t="s">
        <v>63</v>
      </c>
      <c r="U30" t="s">
        <v>52</v>
      </c>
    </row>
    <row r="31" spans="1:15" ht="12.75">
      <c r="A31" s="16"/>
      <c r="B31" s="68" t="s">
        <v>35</v>
      </c>
      <c r="C31" s="69"/>
      <c r="D31" s="163" t="s">
        <v>36</v>
      </c>
      <c r="E31" s="164"/>
      <c r="F31" s="70" t="s">
        <v>37</v>
      </c>
      <c r="G31" s="71" t="s">
        <v>38</v>
      </c>
      <c r="H31" s="150"/>
      <c r="I31" s="151"/>
      <c r="J31" s="152"/>
      <c r="K31" s="151"/>
      <c r="L31" s="16"/>
      <c r="M31" s="16"/>
      <c r="O31" s="4"/>
    </row>
    <row r="32" spans="1:15" ht="12.75">
      <c r="A32" s="16"/>
      <c r="B32" s="72" t="s">
        <v>87</v>
      </c>
      <c r="C32" s="73"/>
      <c r="D32" s="110">
        <f>IF($H$8="MP3-CD",F28,0)</f>
        <v>0</v>
      </c>
      <c r="E32" s="75" t="s">
        <v>31</v>
      </c>
      <c r="F32" s="99">
        <f>IF(D32=0,0,$P$25)</f>
        <v>0</v>
      </c>
      <c r="G32" s="101">
        <f>D32*$P$25</f>
        <v>0</v>
      </c>
      <c r="H32" s="52"/>
      <c r="I32" s="52"/>
      <c r="J32" s="52"/>
      <c r="K32" s="53"/>
      <c r="L32" s="53"/>
      <c r="M32" s="16"/>
      <c r="O32" s="4"/>
    </row>
    <row r="33" spans="1:15" ht="12.75">
      <c r="A33" s="16"/>
      <c r="B33" s="74" t="s">
        <v>88</v>
      </c>
      <c r="C33" s="92"/>
      <c r="D33" s="14">
        <f>IF($H$8="MP3-DVD",H28,0)</f>
        <v>0</v>
      </c>
      <c r="E33" s="75" t="s">
        <v>77</v>
      </c>
      <c r="F33" s="99">
        <f>IF(D33=0,0,$S$25)</f>
        <v>0</v>
      </c>
      <c r="G33" s="101">
        <f>D33*$S$25</f>
        <v>0</v>
      </c>
      <c r="H33" s="16"/>
      <c r="I33" s="32"/>
      <c r="J33" s="32"/>
      <c r="K33" s="32"/>
      <c r="L33" s="16"/>
      <c r="M33" s="16"/>
      <c r="O33" s="4"/>
    </row>
    <row r="34" spans="1:13" ht="12.75">
      <c r="A34" s="16"/>
      <c r="B34" s="111" t="s">
        <v>59</v>
      </c>
      <c r="C34" s="111"/>
      <c r="D34" s="113">
        <f>IF($H$8="MP3-ZIP(100)",ROUNDUP(D28/100,0),0)</f>
        <v>0</v>
      </c>
      <c r="E34" s="114" t="s">
        <v>78</v>
      </c>
      <c r="F34" s="112">
        <f>IF(D34=0,0,$S$24)</f>
        <v>0</v>
      </c>
      <c r="G34" s="119">
        <f>D34*$S$24</f>
        <v>0</v>
      </c>
      <c r="H34" s="185" t="s">
        <v>80</v>
      </c>
      <c r="I34" s="173"/>
      <c r="J34" s="173"/>
      <c r="K34" s="173"/>
      <c r="L34" s="174"/>
      <c r="M34" s="16"/>
    </row>
    <row r="35" spans="1:13" ht="12.75">
      <c r="A35" s="16"/>
      <c r="B35" s="115" t="s">
        <v>55</v>
      </c>
      <c r="C35" s="116"/>
      <c r="D35" s="113">
        <f>IF($H$8="MP3-ZIP(200)",ROUNDUP(D28/200,0),0)</f>
        <v>0</v>
      </c>
      <c r="E35" s="114" t="s">
        <v>78</v>
      </c>
      <c r="F35" s="112">
        <f>IF(D35=0,0,$U$24)</f>
        <v>0</v>
      </c>
      <c r="G35" s="119">
        <f>D35*$U$24</f>
        <v>0</v>
      </c>
      <c r="H35" s="182" t="s">
        <v>82</v>
      </c>
      <c r="I35" s="183"/>
      <c r="J35" s="183"/>
      <c r="K35" s="183"/>
      <c r="L35" s="184"/>
      <c r="M35" s="16"/>
    </row>
    <row r="36" spans="1:13" ht="12.75" customHeight="1">
      <c r="A36" s="16"/>
      <c r="B36" s="117" t="s">
        <v>56</v>
      </c>
      <c r="C36" s="118"/>
      <c r="D36" s="113">
        <f>IF($H$8="MP3-HD",D28,0)</f>
        <v>0</v>
      </c>
      <c r="E36" s="114" t="s">
        <v>79</v>
      </c>
      <c r="F36" s="112">
        <f>IF(D36=0,0,$P$24)</f>
        <v>0</v>
      </c>
      <c r="G36" s="119">
        <f>5*ROUNDDOWN((D36*$P$24)/5,2)</f>
        <v>0</v>
      </c>
      <c r="H36" s="179" t="s">
        <v>81</v>
      </c>
      <c r="I36" s="180"/>
      <c r="J36" s="180"/>
      <c r="K36" s="180"/>
      <c r="L36" s="181"/>
      <c r="M36" s="16"/>
    </row>
    <row r="37" spans="1:14" ht="12.75" customHeight="1">
      <c r="A37" s="16"/>
      <c r="B37" s="74" t="s">
        <v>39</v>
      </c>
      <c r="C37" s="75"/>
      <c r="D37" s="14">
        <f>IF($H$8="AUDIO-CD",J28,0)</f>
        <v>0</v>
      </c>
      <c r="E37" s="75" t="s">
        <v>31</v>
      </c>
      <c r="F37" s="99">
        <f>IF(D37=0,0,$P$25)</f>
        <v>0</v>
      </c>
      <c r="G37" s="101">
        <f>D37*$P$25</f>
        <v>0</v>
      </c>
      <c r="H37" s="177"/>
      <c r="I37" s="178"/>
      <c r="J37" s="178"/>
      <c r="K37" s="178"/>
      <c r="L37" s="178"/>
      <c r="M37" s="16"/>
      <c r="N37" t="s">
        <v>92</v>
      </c>
    </row>
    <row r="38" spans="1:13" ht="12.75" customHeight="1">
      <c r="A38" s="16"/>
      <c r="B38" s="74" t="s">
        <v>95</v>
      </c>
      <c r="C38" s="75"/>
      <c r="D38" s="14">
        <f>$R$8</f>
        <v>0</v>
      </c>
      <c r="E38" s="75" t="s">
        <v>96</v>
      </c>
      <c r="F38" s="99">
        <f>IF(D38=0,0,$P$28)</f>
        <v>0</v>
      </c>
      <c r="G38" s="101">
        <f>D38*$P$28</f>
        <v>0</v>
      </c>
      <c r="H38" s="186" t="s">
        <v>99</v>
      </c>
      <c r="I38" s="187"/>
      <c r="J38" s="187"/>
      <c r="K38" s="187"/>
      <c r="L38" s="188"/>
      <c r="M38" s="16"/>
    </row>
    <row r="39" spans="1:13" ht="12.75">
      <c r="A39" s="16"/>
      <c r="B39" s="74" t="s">
        <v>98</v>
      </c>
      <c r="C39" s="76"/>
      <c r="D39" s="14">
        <f>ROUND(IF($I$8="JA",D32+D33+D37,0),0)</f>
        <v>0</v>
      </c>
      <c r="E39" s="76" t="s">
        <v>40</v>
      </c>
      <c r="F39" s="99">
        <f>IF(D39=0,0,$P$23)</f>
        <v>0</v>
      </c>
      <c r="G39" s="101">
        <f>D39*$P$23</f>
        <v>0</v>
      </c>
      <c r="H39" s="175"/>
      <c r="I39" s="176"/>
      <c r="J39" s="176"/>
      <c r="K39" s="176"/>
      <c r="L39" s="176"/>
      <c r="M39" s="16"/>
    </row>
    <row r="40" spans="1:13" ht="12.75">
      <c r="A40" s="16"/>
      <c r="B40" s="74" t="s">
        <v>41</v>
      </c>
      <c r="C40" s="76"/>
      <c r="D40" s="14">
        <f>D32+D33+D37</f>
        <v>0</v>
      </c>
      <c r="E40" s="76" t="s">
        <v>42</v>
      </c>
      <c r="F40" s="99">
        <f>IF(D40=0,0,$P$26)</f>
        <v>0</v>
      </c>
      <c r="G40" s="101">
        <f>D40*$P$26</f>
        <v>0</v>
      </c>
      <c r="H40" s="16"/>
      <c r="I40" s="32"/>
      <c r="J40" s="32"/>
      <c r="K40" s="32"/>
      <c r="L40" s="16"/>
      <c r="M40" s="16"/>
    </row>
    <row r="41" spans="1:13" ht="12.75">
      <c r="A41" s="16"/>
      <c r="B41" s="77" t="s">
        <v>97</v>
      </c>
      <c r="C41" s="78"/>
      <c r="D41" s="15">
        <f>IF($J$8="JA",D32+D33+D37,0)</f>
        <v>0</v>
      </c>
      <c r="E41" s="78" t="s">
        <v>43</v>
      </c>
      <c r="F41" s="100">
        <f>IF(D41=0,0,$P$27)</f>
        <v>0</v>
      </c>
      <c r="G41" s="102">
        <f>D41*$P$27</f>
        <v>0</v>
      </c>
      <c r="H41" s="79" t="s">
        <v>44</v>
      </c>
      <c r="I41" s="80"/>
      <c r="J41" s="103">
        <f>SUM(G32:G41)</f>
        <v>0</v>
      </c>
      <c r="K41" s="32"/>
      <c r="L41" s="16"/>
      <c r="M41" s="16"/>
    </row>
    <row r="42" spans="1:13" ht="12.75">
      <c r="A42" s="16"/>
      <c r="B42" s="128"/>
      <c r="C42" s="160"/>
      <c r="D42" s="154"/>
      <c r="E42" s="160"/>
      <c r="F42" s="161"/>
      <c r="G42" s="156"/>
      <c r="H42" s="16"/>
      <c r="I42" s="32"/>
      <c r="J42" s="32"/>
      <c r="K42" s="32"/>
      <c r="L42" s="16"/>
      <c r="M42" s="16"/>
    </row>
    <row r="43" spans="1:13" ht="12.75">
      <c r="A43" s="16"/>
      <c r="B43" s="83" t="s">
        <v>45</v>
      </c>
      <c r="C43" s="83"/>
      <c r="D43" s="32"/>
      <c r="E43" s="84" t="s">
        <v>46</v>
      </c>
      <c r="F43" s="84"/>
      <c r="G43" s="84"/>
      <c r="H43" s="208">
        <f>J21</f>
        <v>0</v>
      </c>
      <c r="I43" s="208"/>
      <c r="J43" s="159"/>
      <c r="K43" s="16"/>
      <c r="L43" s="16"/>
      <c r="M43" s="16"/>
    </row>
    <row r="44" spans="1:13" ht="12.75">
      <c r="A44" s="16"/>
      <c r="B44" s="32"/>
      <c r="C44" s="32"/>
      <c r="D44" s="32"/>
      <c r="E44" s="85" t="s">
        <v>7</v>
      </c>
      <c r="F44" s="85"/>
      <c r="G44" s="85"/>
      <c r="H44" s="207">
        <f>J41</f>
        <v>0</v>
      </c>
      <c r="I44" s="207"/>
      <c r="J44" s="81"/>
      <c r="K44" s="82"/>
      <c r="L44" s="16"/>
      <c r="M44" s="16"/>
    </row>
    <row r="45" spans="1:13" ht="12.75">
      <c r="A45" s="16"/>
      <c r="B45" s="16"/>
      <c r="C45" s="16"/>
      <c r="D45" s="16"/>
      <c r="E45" s="16"/>
      <c r="F45" s="86" t="s">
        <v>47</v>
      </c>
      <c r="G45" s="87"/>
      <c r="H45" s="203">
        <f>SUM(H43:H44)</f>
        <v>0</v>
      </c>
      <c r="I45" s="204"/>
      <c r="J45" s="32"/>
      <c r="K45" s="32"/>
      <c r="L45" s="16"/>
      <c r="M45" s="16"/>
    </row>
    <row r="46" spans="1:13" ht="12.75">
      <c r="A46" s="16"/>
      <c r="B46" s="32"/>
      <c r="C46" s="32"/>
      <c r="D46" s="32"/>
      <c r="E46" s="162"/>
      <c r="F46" s="94" t="s">
        <v>64</v>
      </c>
      <c r="G46" s="87"/>
      <c r="H46" s="205" t="s">
        <v>65</v>
      </c>
      <c r="I46" s="206"/>
      <c r="J46" s="32"/>
      <c r="K46" s="32" t="s">
        <v>92</v>
      </c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6"/>
      <c r="B48" s="88" t="s">
        <v>48</v>
      </c>
      <c r="C48" s="89"/>
      <c r="D48" s="89"/>
      <c r="E48" s="89"/>
      <c r="F48" s="89"/>
      <c r="G48" s="89"/>
      <c r="H48" s="89"/>
      <c r="I48" s="89"/>
      <c r="J48" s="16"/>
      <c r="K48" s="16"/>
      <c r="L48" s="16"/>
      <c r="M48" s="16"/>
    </row>
    <row r="51" ht="12.75">
      <c r="K51" t="s">
        <v>92</v>
      </c>
    </row>
  </sheetData>
  <sheetProtection password="EAC2" sheet="1" objects="1" scenarios="1"/>
  <mergeCells count="19">
    <mergeCell ref="H45:I45"/>
    <mergeCell ref="H46:I46"/>
    <mergeCell ref="H44:I44"/>
    <mergeCell ref="H43:I43"/>
    <mergeCell ref="B7:C8"/>
    <mergeCell ref="B1:J1"/>
    <mergeCell ref="B3:J3"/>
    <mergeCell ref="B4:J4"/>
    <mergeCell ref="E6:G6"/>
    <mergeCell ref="I6:K6"/>
    <mergeCell ref="K18:M20"/>
    <mergeCell ref="B23:F23"/>
    <mergeCell ref="H39:L39"/>
    <mergeCell ref="H37:L37"/>
    <mergeCell ref="H36:L36"/>
    <mergeCell ref="H35:L35"/>
    <mergeCell ref="H34:L34"/>
    <mergeCell ref="H38:L38"/>
    <mergeCell ref="K21:L23"/>
  </mergeCells>
  <dataValidations count="14">
    <dataValidation type="list" operator="equal" allowBlank="1" showInputMessage="1" showErrorMessage="1" promptTitle="Ausgabe-Medium" prompt="MP3 auf CD&#10;MP3 auf DVD&#10;MP3 auf USB-HD&#10;MP3 auf USB-ZIP (100MB)&#10;MP3 auf USP-ZIP (200MB)&#10;MP3 auf USB-HD&#10;AUDIO-CD" error="Falscher Buchstabe" sqref="H8">
      <formula1>$P$30:$U$30</formula1>
    </dataValidation>
    <dataValidation type="list" allowBlank="1" showInputMessage="1" showErrorMessage="1" sqref="O39">
      <formula1>"m30:m31"</formula1>
    </dataValidation>
    <dataValidation type="list" operator="equal" showInputMessage="1" showErrorMessage="1" promptTitle="Bild Plattenhülle + Titel" prompt="JA oder NEIN eingeben" sqref="J8">
      <formula1>$P$29:$Q$29</formula1>
    </dataValidation>
    <dataValidation type="list" operator="equal" showInputMessage="1" showErrorMessage="1" promptTitle="Oberflächenreinigung" prompt="JA oder NEIN" sqref="D8">
      <formula1>$P$29:$Q$29</formula1>
    </dataValidation>
    <dataValidation type="list" operator="equal" showInputMessage="1" showErrorMessage="1" promptTitle="Verbesserung der Klangdynamik" prompt="JA oder NEIN eingeben" sqref="E8">
      <formula1>$P$29:$Q$29</formula1>
    </dataValidation>
    <dataValidation type="list" operator="equal" showInputMessage="1" showErrorMessage="1" promptTitle="Titel, Interpret, Album etc." prompt="JA oder NEIN eingeben" sqref="F8">
      <formula1>$P$29:$Q$29</formula1>
    </dataValidation>
    <dataValidation type="list" operator="equal" showInputMessage="1" showErrorMessage="1" promptTitle="Entfernen Störungen" prompt="JA oder NEIN eingeben" sqref="G8">
      <formula1>$P$29:$Q$29</formula1>
    </dataValidation>
    <dataValidation type="list" operator="equal" showInputMessage="1" showErrorMessage="1" promptTitle="Mit Rundbild der Plattenhülle" prompt="JA oder NEIN eingeben" sqref="I8">
      <formula1>$P$29:$Q$29</formula1>
    </dataValidation>
    <dataValidation allowBlank="1" showInputMessage="1" showErrorMessage="1" promptTitle="Bild Plattenhülle + Titel" sqref="J7"/>
    <dataValidation type="whole" showInputMessage="1" showErrorMessage="1" prompt="Anzahl der 33-er Platten eingeben" error="min. Anzahl = 0. max. Anzahl= 100" sqref="D15:D20">
      <formula1>0</formula1>
      <formula2>100</formula2>
    </dataValidation>
    <dataValidation type="list" allowBlank="1" showInputMessage="1" showErrorMessage="1" promptTitle="Fotos Plattenhüllen vorhanden ?" prompt="JA oder NEIN eingeben" sqref="K8">
      <formula1>$P$29:$Q$29</formula1>
    </dataValidation>
    <dataValidation type="whole" showErrorMessage="1" prompt="Anzahl der Platten eingeben" error="min. Anzahl = 0. max. Anzahl= 99" sqref="D21">
      <formula1>0</formula1>
      <formula2>999</formula2>
    </dataValidation>
    <dataValidation type="whole" showErrorMessage="1" error="min. Anzahl = 0. max. Anzahl= 99" sqref="D22">
      <formula1>0</formula1>
      <formula2>999</formula2>
    </dataValidation>
    <dataValidation type="whole" showInputMessage="1" showErrorMessage="1" prompt="Anzahl der 45-er Platten eingeben" error="min. Anzahl = 0. max. Anzahl= 200" sqref="D12:D14">
      <formula1>0</formula1>
      <formula2>200</formula2>
    </dataValidation>
  </dataValidations>
  <printOptions/>
  <pageMargins left="0.51" right="0.53" top="0.78" bottom="0.36" header="0.99" footer="0.51"/>
  <pageSetup horizontalDpi="600" verticalDpi="600" orientation="landscape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Library-Online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M. Stempfel</dc:creator>
  <cp:keywords/>
  <dc:description/>
  <cp:lastModifiedBy>André M. Stempfel</cp:lastModifiedBy>
  <cp:lastPrinted>2005-04-19T14:28:07Z</cp:lastPrinted>
  <dcterms:created xsi:type="dcterms:W3CDTF">2005-04-19T05:49:01Z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